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" sheetId="7" r:id="rId7"/>
  </sheets>
  <definedNames>
    <definedName name="_xlnm.Print_Area" localSheetId="6">'січень'!$A$1:$R$87</definedName>
  </definedNames>
  <calcPr fullCalcOnLoad="1"/>
</workbook>
</file>

<file path=xl/sharedStrings.xml><?xml version="1.0" encoding="utf-8"?>
<sst xmlns="http://schemas.openxmlformats.org/spreadsheetml/2006/main" count="891" uniqueCount="178">
  <si>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</si>
  <si>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</si>
  <si>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</si>
  <si>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</si>
  <si>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</si>
  <si>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</si>
  <si>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</si>
  <si>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</si>
  <si>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</si>
  <si>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</si>
  <si>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</si>
  <si>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</si>
  <si>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</si>
  <si>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</si>
  <si>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</si>
  <si>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</si>
  <si>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</si>
  <si>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</si>
  <si>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</si>
  <si>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</si>
  <si>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</si>
  <si>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</si>
  <si>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</si>
  <si>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</si>
  <si>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</si>
  <si>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</si>
  <si>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</si>
  <si>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</si>
  <si>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</si>
  <si>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</si>
  <si>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</si>
  <si>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</si>
  <si>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</si>
  <si>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</si>
  <si>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</si>
  <si>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</si>
  <si>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</si>
  <si>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</si>
  <si>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</si>
  <si>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</si>
  <si>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</si>
  <si>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</si>
  <si>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</si>
  <si>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</si>
  <si>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</si>
  <si>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</si>
  <si>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</si>
  <si>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</si>
  <si>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</si>
  <si>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</si>
  <si>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</si>
  <si>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</si>
  <si>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</si>
  <si>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</si>
  <si>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</si>
  <si>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</si>
  <si>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</si>
  <si>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</si>
  <si>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</si>
  <si>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</si>
  <si>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</si>
  <si>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</si>
  <si>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</si>
  <si>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</si>
  <si>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</si>
  <si>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</si>
  <si>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</si>
  <si>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</si>
  <si>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</si>
  <si>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</si>
  <si>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</si>
  <si>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</si>
  <si>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</si>
  <si>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</si>
  <si>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</si>
  <si>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</si>
  <si>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</si>
  <si>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</si>
  <si>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</si>
  <si>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</si>
  <si>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</si>
  <si>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</si>
  <si>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</si>
  <si>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</si>
  <si>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</si>
  <si>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</si>
  <si>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</si>
  <si>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</si>
  <si>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</si>
  <si>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</si>
  <si>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</si>
  <si>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</si>
  <si>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</si>
  <si>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</si>
  <si>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</si>
  <si>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</si>
  <si>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</si>
  <si>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</si>
  <si>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</si>
  <si>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</si>
  <si>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</si>
  <si>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</si>
  <si>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</si>
  <si>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</si>
  <si>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</si>
  <si>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</si>
  <si>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</si>
  <si>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</si>
  <si>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</si>
  <si>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</si>
  <si>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</si>
  <si>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</si>
  <si>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</si>
  <si>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</si>
  <si>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</si>
  <si>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</si>
  <si>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</si>
  <si>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</si>
  <si>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</si>
  <si>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</si>
  <si>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</si>
  <si>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</si>
  <si>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</si>
  <si>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</si>
  <si>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</si>
  <si>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</si>
  <si>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</si>
  <si>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</si>
  <si>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</si>
  <si>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</si>
  <si>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</si>
  <si>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</si>
  <si>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</si>
  <si>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</si>
  <si>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</si>
  <si>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</si>
  <si>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</si>
  <si>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</si>
  <si>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</si>
  <si>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</si>
  <si>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</si>
  <si>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</si>
  <si>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</si>
  <si>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</si>
  <si>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</si>
  <si>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</si>
  <si>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</si>
  <si>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</si>
  <si>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</si>
  <si>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</si>
  <si>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</si>
  <si>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</si>
  <si>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</si>
  <si>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</si>
  <si>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</si>
  <si>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</si>
  <si>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</si>
  <si>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</si>
  <si>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</si>
  <si>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</si>
  <si>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</si>
  <si>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</si>
  <si>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</si>
  <si>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</si>
  <si>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</si>
  <si>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</si>
  <si>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</si>
  <si>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</si>
  <si>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</si>
  <si>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</si>
  <si>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</si>
  <si>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</si>
  <si>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</si>
  <si>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</si>
  <si>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</si>
  <si>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</si>
  <si>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22.06.2016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</si>
  <si>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21.06.16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</si>
</sst>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176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71"/>
      <c r="C2" s="271"/>
      <c r="D2" s="27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172</v>
      </c>
      <c r="N3" s="281" t="s">
        <v>173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170</v>
      </c>
      <c r="F4" s="264" t="s">
        <v>34</v>
      </c>
      <c r="G4" s="258" t="s">
        <v>171</v>
      </c>
      <c r="H4" s="266" t="s">
        <v>175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177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65"/>
      <c r="G5" s="259"/>
      <c r="H5" s="267"/>
      <c r="I5" s="259"/>
      <c r="J5" s="267"/>
      <c r="K5" s="261" t="s">
        <v>174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191">
        <f>F9+F15+F18+F19+F20+F36+F17</f>
        <v>414059.23999999993</v>
      </c>
      <c r="G8" s="191">
        <f aca="true" t="shared" si="0" ref="G8:G36">F8-E8</f>
        <v>-6176.540000000037</v>
      </c>
      <c r="H8" s="192">
        <f>F8/E8*100</f>
        <v>98.53022034439807</v>
      </c>
      <c r="I8" s="193">
        <f>F8-D8</f>
        <v>-426990.76000000007</v>
      </c>
      <c r="J8" s="193">
        <f>F8/D8*100</f>
        <v>49.2312276321265</v>
      </c>
      <c r="K8" s="191">
        <f>F8-305119.12</f>
        <v>108940.11999999994</v>
      </c>
      <c r="L8" s="191">
        <f>F8/305119.12*100</f>
        <v>135.70412762071416</v>
      </c>
      <c r="M8" s="191">
        <f>M9+M15+M18+M19+M20+M17</f>
        <v>67799.29999999999</v>
      </c>
      <c r="N8" s="191">
        <f>N9+N15+N18+N19+N20+N17</f>
        <v>39064.28999999999</v>
      </c>
      <c r="O8" s="191">
        <f>N8-M8</f>
        <v>-28735.009999999995</v>
      </c>
      <c r="P8" s="191">
        <f>N8/M8*100</f>
        <v>57.617541774030116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6">
        <v>230047.68</v>
      </c>
      <c r="G9" s="190">
        <f t="shared" si="0"/>
        <v>6143.4100000000035</v>
      </c>
      <c r="H9" s="197">
        <f>F9/E9*100</f>
        <v>102.74376634264277</v>
      </c>
      <c r="I9" s="198">
        <f>F9-D9</f>
        <v>-229652.32</v>
      </c>
      <c r="J9" s="198">
        <f>F9/D9*100</f>
        <v>50.04300195779856</v>
      </c>
      <c r="K9" s="199">
        <f>F9-171379.72</f>
        <v>58667.95999999999</v>
      </c>
      <c r="L9" s="199">
        <f>F9/171379.72*100</f>
        <v>134.23273185415403</v>
      </c>
      <c r="M9" s="197">
        <f>E9-травень!E9</f>
        <v>41002</v>
      </c>
      <c r="N9" s="200">
        <f>F9-травень!F9</f>
        <v>30946.75999999998</v>
      </c>
      <c r="O9" s="201">
        <f>N9-M9</f>
        <v>-10055.24000000002</v>
      </c>
      <c r="P9" s="198">
        <f>N9/M9*100</f>
        <v>75.47622067216228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71">
        <v>202149.63</v>
      </c>
      <c r="G10" s="109">
        <f t="shared" si="0"/>
        <v>2853.790000000008</v>
      </c>
      <c r="H10" s="32">
        <f aca="true" t="shared" si="1" ref="H10:H35">F10/E10*100</f>
        <v>101.43193656224835</v>
      </c>
      <c r="I10" s="110">
        <f aca="true" t="shared" si="2" ref="I10:I36">F10-D10</f>
        <v>-209290.37</v>
      </c>
      <c r="J10" s="110">
        <f aca="true" t="shared" si="3" ref="J10:J35">F10/D10*100</f>
        <v>49.13222584094886</v>
      </c>
      <c r="K10" s="112">
        <f>F10-152226.9</f>
        <v>49922.73000000001</v>
      </c>
      <c r="L10" s="112">
        <f>F10/152226.9*100</f>
        <v>132.79494622829475</v>
      </c>
      <c r="M10" s="111">
        <f>E10-травень!E10</f>
        <v>37450</v>
      </c>
      <c r="N10" s="179">
        <f>F10-травень!F10</f>
        <v>27981.300000000017</v>
      </c>
      <c r="O10" s="112">
        <f aca="true" t="shared" si="4" ref="O10:O36">N10-M10</f>
        <v>-9468.699999999983</v>
      </c>
      <c r="P10" s="198">
        <f aca="true" t="shared" si="5" ref="P10:P16">N10/M10*100</f>
        <v>74.7164218958612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71">
        <v>16331.29</v>
      </c>
      <c r="G11" s="109">
        <f t="shared" si="0"/>
        <v>2166.3500000000004</v>
      </c>
      <c r="H11" s="32">
        <f t="shared" si="1"/>
        <v>115.29374639073657</v>
      </c>
      <c r="I11" s="110">
        <f t="shared" si="2"/>
        <v>-6668.709999999999</v>
      </c>
      <c r="J11" s="110">
        <f t="shared" si="3"/>
        <v>71.00560869565217</v>
      </c>
      <c r="K11" s="112">
        <f>F11-9213.1</f>
        <v>7118.1900000000005</v>
      </c>
      <c r="L11" s="112">
        <f>F11/9213.1*100</f>
        <v>177.2616166111298</v>
      </c>
      <c r="M11" s="111">
        <f>E11-травень!E11</f>
        <v>1600</v>
      </c>
      <c r="N11" s="179">
        <f>F11-травень!F11</f>
        <v>1652.0400000000009</v>
      </c>
      <c r="O11" s="112">
        <f t="shared" si="4"/>
        <v>52.04000000000087</v>
      </c>
      <c r="P11" s="198">
        <f t="shared" si="5"/>
        <v>103.25250000000005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71">
        <v>5045.36</v>
      </c>
      <c r="G12" s="109">
        <f t="shared" si="0"/>
        <v>2324.7499999999995</v>
      </c>
      <c r="H12" s="32">
        <f t="shared" si="1"/>
        <v>185.44958667357687</v>
      </c>
      <c r="I12" s="110">
        <f t="shared" si="2"/>
        <v>-1454.6400000000003</v>
      </c>
      <c r="J12" s="110">
        <f t="shared" si="3"/>
        <v>77.62092307692308</v>
      </c>
      <c r="K12" s="112">
        <f>F12-2592.53</f>
        <v>2452.8299999999995</v>
      </c>
      <c r="L12" s="112">
        <f>F12/2592.53*100</f>
        <v>194.61144133336933</v>
      </c>
      <c r="M12" s="111">
        <f>E12-травень!E12</f>
        <v>500</v>
      </c>
      <c r="N12" s="179">
        <f>F12-травень!F12</f>
        <v>462.1300000000001</v>
      </c>
      <c r="O12" s="112">
        <f t="shared" si="4"/>
        <v>-37.86999999999989</v>
      </c>
      <c r="P12" s="198">
        <f t="shared" si="5"/>
        <v>92.42600000000002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71">
        <v>4120.8</v>
      </c>
      <c r="G13" s="109">
        <f t="shared" si="0"/>
        <v>-464.03999999999996</v>
      </c>
      <c r="H13" s="32">
        <f t="shared" si="1"/>
        <v>89.87881801764075</v>
      </c>
      <c r="I13" s="110">
        <f t="shared" si="2"/>
        <v>-8279.2</v>
      </c>
      <c r="J13" s="110">
        <f t="shared" si="3"/>
        <v>33.23225806451613</v>
      </c>
      <c r="K13" s="112">
        <f>F13-2783.41</f>
        <v>1337.3900000000003</v>
      </c>
      <c r="L13" s="112">
        <f>F13/2783.41*100</f>
        <v>148.0486166249313</v>
      </c>
      <c r="M13" s="111">
        <f>E13-травень!E13</f>
        <v>820</v>
      </c>
      <c r="N13" s="179">
        <f>F13-травень!F13</f>
        <v>357.3600000000001</v>
      </c>
      <c r="O13" s="112">
        <f t="shared" si="4"/>
        <v>-462.6399999999999</v>
      </c>
      <c r="P13" s="198">
        <f t="shared" si="5"/>
        <v>43.58048780487807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7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6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6">
        <v>35974.33</v>
      </c>
      <c r="G19" s="190">
        <f t="shared" si="0"/>
        <v>-11886.07</v>
      </c>
      <c r="H19" s="197">
        <f t="shared" si="1"/>
        <v>75.16512607500147</v>
      </c>
      <c r="I19" s="198">
        <f t="shared" si="2"/>
        <v>-73925.67</v>
      </c>
      <c r="J19" s="198">
        <f t="shared" si="3"/>
        <v>32.73369426751592</v>
      </c>
      <c r="K19" s="209">
        <f>F19-30116.49</f>
        <v>5857.84</v>
      </c>
      <c r="L19" s="209">
        <f>F19/30116.49*100</f>
        <v>119.45060662779758</v>
      </c>
      <c r="M19" s="197">
        <f>E19-травень!E19</f>
        <v>9800</v>
      </c>
      <c r="N19" s="200">
        <f>F19-травень!F19</f>
        <v>743.7700000000041</v>
      </c>
      <c r="O19" s="201">
        <f t="shared" si="4"/>
        <v>-9056.229999999996</v>
      </c>
      <c r="P19" s="198">
        <f aca="true" t="shared" si="6" ref="P19:P24">N19/M19*100</f>
        <v>7.58948979591841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10">
        <f>F21+F29+F31+F30</f>
        <v>147622.02</v>
      </c>
      <c r="G20" s="190">
        <f t="shared" si="0"/>
        <v>-599.0899999999965</v>
      </c>
      <c r="H20" s="197">
        <f t="shared" si="1"/>
        <v>99.59581330891396</v>
      </c>
      <c r="I20" s="198">
        <f t="shared" si="2"/>
        <v>-123317.98000000001</v>
      </c>
      <c r="J20" s="198">
        <f t="shared" si="3"/>
        <v>54.4851332398317</v>
      </c>
      <c r="K20" s="198">
        <f>F20-100444.36</f>
        <v>47177.65999999999</v>
      </c>
      <c r="L20" s="198">
        <f>F20/100444.36*100</f>
        <v>146.9689487792047</v>
      </c>
      <c r="M20" s="197">
        <f>M21+M29+M30+M31</f>
        <v>16992.299999999985</v>
      </c>
      <c r="N20" s="200">
        <f>F20-травень!F20</f>
        <v>7373.760000000009</v>
      </c>
      <c r="O20" s="201">
        <f t="shared" si="4"/>
        <v>-9618.539999999975</v>
      </c>
      <c r="P20" s="198">
        <f t="shared" si="6"/>
        <v>43.39471407637586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211">
        <f>F22+F25+F26</f>
        <v>75482.28</v>
      </c>
      <c r="G21" s="190">
        <f t="shared" si="0"/>
        <v>-2661.0800000000017</v>
      </c>
      <c r="H21" s="197">
        <f t="shared" si="1"/>
        <v>96.59461789203843</v>
      </c>
      <c r="I21" s="198">
        <f t="shared" si="2"/>
        <v>-85917.72</v>
      </c>
      <c r="J21" s="198">
        <f t="shared" si="3"/>
        <v>46.76721189591078</v>
      </c>
      <c r="K21" s="198">
        <f>F21-54757.32</f>
        <v>20724.96</v>
      </c>
      <c r="L21" s="198">
        <f>F21/54757.32*100</f>
        <v>137.84874789343235</v>
      </c>
      <c r="M21" s="197">
        <f>M22+M25+M26</f>
        <v>13047.099999999999</v>
      </c>
      <c r="N21" s="200">
        <f>F21-травень!F21</f>
        <v>3942.1399999999994</v>
      </c>
      <c r="O21" s="201">
        <f t="shared" si="4"/>
        <v>-9104.96</v>
      </c>
      <c r="P21" s="198">
        <f t="shared" si="6"/>
        <v>30.21468372281963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3">
        <v>8884.4</v>
      </c>
      <c r="G22" s="212">
        <f t="shared" si="0"/>
        <v>272.7999999999993</v>
      </c>
      <c r="H22" s="214">
        <f t="shared" si="1"/>
        <v>103.1678201495657</v>
      </c>
      <c r="I22" s="215">
        <f t="shared" si="2"/>
        <v>-9615.6</v>
      </c>
      <c r="J22" s="215">
        <f t="shared" si="3"/>
        <v>48.02378378378378</v>
      </c>
      <c r="K22" s="216">
        <f>F22-4957.1</f>
        <v>3927.2999999999993</v>
      </c>
      <c r="L22" s="216">
        <f>F22/4957.1*100</f>
        <v>179.22575699501724</v>
      </c>
      <c r="M22" s="214">
        <f>E22-травень!E22</f>
        <v>240</v>
      </c>
      <c r="N22" s="217">
        <f>F22-травень!F22</f>
        <v>244.25</v>
      </c>
      <c r="O22" s="218">
        <f t="shared" si="4"/>
        <v>4.25</v>
      </c>
      <c r="P22" s="215">
        <f t="shared" si="6"/>
        <v>101.77083333333334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3">
        <v>275.39</v>
      </c>
      <c r="G23" s="241">
        <f t="shared" si="0"/>
        <v>-113.71000000000004</v>
      </c>
      <c r="H23" s="242">
        <f t="shared" si="1"/>
        <v>70.77615008995116</v>
      </c>
      <c r="I23" s="243">
        <f t="shared" si="2"/>
        <v>-1724.6100000000001</v>
      </c>
      <c r="J23" s="243">
        <f t="shared" si="3"/>
        <v>13.769499999999999</v>
      </c>
      <c r="K23" s="244">
        <f>F23-284.18</f>
        <v>-8.79000000000002</v>
      </c>
      <c r="L23" s="244">
        <f>F23/284.18*100</f>
        <v>96.90688999929621</v>
      </c>
      <c r="M23" s="239">
        <f>E23-травень!E23</f>
        <v>40</v>
      </c>
      <c r="N23" s="239">
        <f>F23-травень!F23</f>
        <v>11.740000000000009</v>
      </c>
      <c r="O23" s="240">
        <f t="shared" si="4"/>
        <v>-28.25999999999999</v>
      </c>
      <c r="P23" s="240">
        <f t="shared" si="6"/>
        <v>29.35000000000002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3">
        <v>8609.01</v>
      </c>
      <c r="G24" s="241">
        <f t="shared" si="0"/>
        <v>386.5100000000002</v>
      </c>
      <c r="H24" s="242">
        <f t="shared" si="1"/>
        <v>104.70063849194284</v>
      </c>
      <c r="I24" s="243">
        <f t="shared" si="2"/>
        <v>-7890.99</v>
      </c>
      <c r="J24" s="243">
        <f t="shared" si="3"/>
        <v>52.17581818181818</v>
      </c>
      <c r="K24" s="244">
        <f>F24-4672.92</f>
        <v>3936.09</v>
      </c>
      <c r="L24" s="244">
        <f>F24/4672.92*100</f>
        <v>184.23191494825505</v>
      </c>
      <c r="M24" s="239">
        <f>E24-травень!E24</f>
        <v>200</v>
      </c>
      <c r="N24" s="239">
        <f>F24-травень!F24</f>
        <v>232.51000000000022</v>
      </c>
      <c r="O24" s="240">
        <f t="shared" si="4"/>
        <v>32.51000000000022</v>
      </c>
      <c r="P24" s="240">
        <f t="shared" si="6"/>
        <v>116.25500000000011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426.71</v>
      </c>
      <c r="G25" s="212">
        <f t="shared" si="0"/>
        <v>149.87</v>
      </c>
      <c r="H25" s="214">
        <f t="shared" si="1"/>
        <v>154.13596301112557</v>
      </c>
      <c r="I25" s="215">
        <f t="shared" si="2"/>
        <v>-2373.29</v>
      </c>
      <c r="J25" s="215">
        <f t="shared" si="3"/>
        <v>15.239642857142858</v>
      </c>
      <c r="K25" s="215">
        <f>F25-210.68</f>
        <v>216.02999999999997</v>
      </c>
      <c r="L25" s="215">
        <f>F25/210.68*100</f>
        <v>202.53939624074425</v>
      </c>
      <c r="M25" s="214">
        <f>E25-травень!E25</f>
        <v>0</v>
      </c>
      <c r="N25" s="217">
        <f>F25-травень!F25</f>
        <v>6.6299999999999955</v>
      </c>
      <c r="O25" s="218">
        <f t="shared" si="4"/>
        <v>6.6299999999999955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3">
        <v>66171.17</v>
      </c>
      <c r="G26" s="212">
        <f t="shared" si="0"/>
        <v>-3083.75</v>
      </c>
      <c r="H26" s="214">
        <f t="shared" si="1"/>
        <v>95.54724776232504</v>
      </c>
      <c r="I26" s="215">
        <f t="shared" si="2"/>
        <v>-73928.83</v>
      </c>
      <c r="J26" s="215">
        <f t="shared" si="3"/>
        <v>47.231384725196286</v>
      </c>
      <c r="K26" s="216">
        <f>F26-49589.53</f>
        <v>16581.64</v>
      </c>
      <c r="L26" s="216">
        <f>F26/49589.53*100</f>
        <v>133.4377841451613</v>
      </c>
      <c r="M26" s="214">
        <f>E26-травень!E26</f>
        <v>12807.099999999999</v>
      </c>
      <c r="N26" s="217">
        <f>F26-травень!F26</f>
        <v>3691.2599999999948</v>
      </c>
      <c r="O26" s="218">
        <f t="shared" si="4"/>
        <v>-9115.840000000004</v>
      </c>
      <c r="P26" s="215">
        <f>N26/M26*100</f>
        <v>28.821981557105005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3">
        <v>20195.54</v>
      </c>
      <c r="G27" s="241">
        <f t="shared" si="0"/>
        <v>765.7900000000009</v>
      </c>
      <c r="H27" s="242">
        <f t="shared" si="1"/>
        <v>103.94132708861412</v>
      </c>
      <c r="I27" s="243">
        <f t="shared" si="2"/>
        <v>-17861.46</v>
      </c>
      <c r="J27" s="243">
        <f t="shared" si="3"/>
        <v>53.06655805765037</v>
      </c>
      <c r="K27" s="244">
        <f>F27-12926</f>
        <v>7269.540000000001</v>
      </c>
      <c r="L27" s="244">
        <f>F27/12926*100</f>
        <v>156.23967197895715</v>
      </c>
      <c r="M27" s="239">
        <f>E27-12724.05</f>
        <v>6705.700000000001</v>
      </c>
      <c r="N27" s="239">
        <f>F27-15205.9</f>
        <v>4989.640000000001</v>
      </c>
      <c r="O27" s="240">
        <f t="shared" si="4"/>
        <v>-1716.0599999999995</v>
      </c>
      <c r="P27" s="240">
        <f>N27/M27*100</f>
        <v>74.40893568158432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3">
        <v>45975.64</v>
      </c>
      <c r="G28" s="241">
        <f t="shared" si="0"/>
        <v>-3849.529999999999</v>
      </c>
      <c r="H28" s="242">
        <f t="shared" si="1"/>
        <v>92.2739250061766</v>
      </c>
      <c r="I28" s="243">
        <f t="shared" si="2"/>
        <v>35932.64</v>
      </c>
      <c r="J28" s="243">
        <f t="shared" si="3"/>
        <v>457.78791197849245</v>
      </c>
      <c r="K28" s="244">
        <f>F28-36663.53</f>
        <v>9312.11</v>
      </c>
      <c r="L28" s="244">
        <f>F28/36663.53*100</f>
        <v>125.39883639136767</v>
      </c>
      <c r="M28" s="239">
        <f>E28-32053.77</f>
        <v>17771.399999999998</v>
      </c>
      <c r="N28" s="239">
        <f>F28-34030.56</f>
        <v>11945.080000000002</v>
      </c>
      <c r="O28" s="240">
        <f t="shared" si="4"/>
        <v>-5826.319999999996</v>
      </c>
      <c r="P28" s="240">
        <f>N28/M28*100</f>
        <v>67.21518844885604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6">
        <v>52.35</v>
      </c>
      <c r="G29" s="190">
        <f t="shared" si="0"/>
        <v>16.64</v>
      </c>
      <c r="H29" s="197">
        <f t="shared" si="1"/>
        <v>146.59759171100532</v>
      </c>
      <c r="I29" s="198">
        <f t="shared" si="2"/>
        <v>-24.65</v>
      </c>
      <c r="J29" s="198">
        <f t="shared" si="3"/>
        <v>67.98701298701299</v>
      </c>
      <c r="K29" s="198">
        <f>F29-37.42</f>
        <v>14.93</v>
      </c>
      <c r="L29" s="198">
        <f>F29/37.42*100</f>
        <v>139.89845002672368</v>
      </c>
      <c r="M29" s="197">
        <f>E29-травень!E29</f>
        <v>5.199999999999999</v>
      </c>
      <c r="N29" s="200">
        <f>F29-травень!F29</f>
        <v>1.2100000000000009</v>
      </c>
      <c r="O29" s="201">
        <f t="shared" si="4"/>
        <v>-3.9899999999999984</v>
      </c>
      <c r="P29" s="198">
        <f>N29/M29*100</f>
        <v>23.269230769230788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3">
        <v>72212.43</v>
      </c>
      <c r="G31" s="202">
        <f t="shared" si="0"/>
        <v>2170.3899999999994</v>
      </c>
      <c r="H31" s="204">
        <f t="shared" si="1"/>
        <v>103.09869615448093</v>
      </c>
      <c r="I31" s="205">
        <f t="shared" si="2"/>
        <v>-37250.57000000001</v>
      </c>
      <c r="J31" s="205">
        <f t="shared" si="3"/>
        <v>65.969715794378</v>
      </c>
      <c r="K31" s="219">
        <f>F31-46052.97</f>
        <v>26159.459999999992</v>
      </c>
      <c r="L31" s="219">
        <f>F31/46052.97*100</f>
        <v>156.8029814363764</v>
      </c>
      <c r="M31" s="197">
        <f>E31-травень!E31</f>
        <v>3939.9999999999854</v>
      </c>
      <c r="N31" s="200">
        <f>F31-травень!F31</f>
        <v>3445.729999999996</v>
      </c>
      <c r="O31" s="207">
        <f t="shared" si="4"/>
        <v>-494.2699999999895</v>
      </c>
      <c r="P31" s="205">
        <f>N31/M31*100</f>
        <v>87.4550761421322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71">
        <v>18072.18</v>
      </c>
      <c r="G33" s="109">
        <f t="shared" si="0"/>
        <v>376.2099999999991</v>
      </c>
      <c r="H33" s="111">
        <f t="shared" si="1"/>
        <v>102.12596427322151</v>
      </c>
      <c r="I33" s="110">
        <f t="shared" si="2"/>
        <v>-9527.82</v>
      </c>
      <c r="J33" s="110">
        <f t="shared" si="3"/>
        <v>65.47891304347826</v>
      </c>
      <c r="K33" s="142">
        <f>F33-11423.16</f>
        <v>6649.02</v>
      </c>
      <c r="L33" s="142">
        <f>F33/11423.16*100</f>
        <v>158.20648577101258</v>
      </c>
      <c r="M33" s="111">
        <f>E33-травень!E33</f>
        <v>940</v>
      </c>
      <c r="N33" s="179">
        <f>F33-травень!F33</f>
        <v>520.119999999999</v>
      </c>
      <c r="O33" s="112">
        <f t="shared" si="4"/>
        <v>-419.880000000001</v>
      </c>
      <c r="P33" s="110">
        <f>N33/M33*100</f>
        <v>55.33191489361692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71">
        <v>53673.99</v>
      </c>
      <c r="G34" s="109">
        <f t="shared" si="0"/>
        <v>1337.9099999999962</v>
      </c>
      <c r="H34" s="111">
        <f t="shared" si="1"/>
        <v>102.5563817542315</v>
      </c>
      <c r="I34" s="110">
        <f t="shared" si="2"/>
        <v>-28138.010000000002</v>
      </c>
      <c r="J34" s="110">
        <f t="shared" si="3"/>
        <v>65.6065002689092</v>
      </c>
      <c r="K34" s="142">
        <f>F34-34622.85</f>
        <v>19051.14</v>
      </c>
      <c r="L34" s="142">
        <f>F34/34622.85*100</f>
        <v>155.0247596601666</v>
      </c>
      <c r="M34" s="111">
        <f>E34-травень!E34</f>
        <v>3000</v>
      </c>
      <c r="N34" s="179">
        <f>F34-травень!F34</f>
        <v>2473.529999999999</v>
      </c>
      <c r="O34" s="112">
        <f t="shared" si="4"/>
        <v>-526.4700000000012</v>
      </c>
      <c r="P34" s="110">
        <f>N34/M34*100</f>
        <v>82.45099999999996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191">
        <f>F38+F39+F40+F41+F42+F44+F46+F47+F48+F49+F50+F55+F56+F60+F43</f>
        <v>28627.93</v>
      </c>
      <c r="G37" s="191">
        <f>G38+G39+G40+G41+G42+G44+G46+G47+G48+G49+G50+G55+G56+G60</f>
        <v>7123.1</v>
      </c>
      <c r="H37" s="192">
        <f>F37/E37*100</f>
        <v>133.16536445432445</v>
      </c>
      <c r="I37" s="193">
        <f>F37-D37</f>
        <v>-14192.07</v>
      </c>
      <c r="J37" s="193">
        <f>F37/D37*100</f>
        <v>66.85644558617469</v>
      </c>
      <c r="K37" s="191">
        <f>F37-15873</f>
        <v>12754.93</v>
      </c>
      <c r="L37" s="191">
        <f>F37/15873*100</f>
        <v>180.35613935613938</v>
      </c>
      <c r="M37" s="191">
        <f>M38+M39+M40+M41+M42+M44+M46+M47+M48+M49+M50+M55+M56+M60</f>
        <v>3691.0000000000005</v>
      </c>
      <c r="N37" s="191">
        <f>N38+N39+N40+N41+N42+N44+N46+N47+N48+N49+N50+N55+N56+N60+N43</f>
        <v>5787.51</v>
      </c>
      <c r="O37" s="191">
        <f>O38+O39+O40+O41+O42+O44+O46+O47+O48+O49+O50+O55+O56+O60</f>
        <v>2096.5100000000007</v>
      </c>
      <c r="P37" s="191">
        <f>N37/M37*100</f>
        <v>156.80059604443238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6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6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6">
        <v>27.79</v>
      </c>
      <c r="G40" s="202">
        <f t="shared" si="9"/>
        <v>-83.65</v>
      </c>
      <c r="H40" s="204">
        <f t="shared" si="7"/>
        <v>24.937185929648244</v>
      </c>
      <c r="I40" s="205">
        <f t="shared" si="10"/>
        <v>-372.21</v>
      </c>
      <c r="J40" s="205">
        <f aca="true" t="shared" si="12" ref="J40:J61">F40/D40*100</f>
        <v>6.9475</v>
      </c>
      <c r="K40" s="205">
        <f>F40-188.18</f>
        <v>-160.39000000000001</v>
      </c>
      <c r="L40" s="205">
        <f>F40/188.18*100</f>
        <v>14.76777553406313</v>
      </c>
      <c r="M40" s="204">
        <f>E40-травень!E40</f>
        <v>20</v>
      </c>
      <c r="N40" s="208">
        <f>F40-травень!F40</f>
        <v>0.2799999999999976</v>
      </c>
      <c r="O40" s="207">
        <f t="shared" si="11"/>
        <v>-19.720000000000002</v>
      </c>
      <c r="P40" s="205">
        <f t="shared" si="8"/>
        <v>1.399999999999988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6">
        <v>55.02</v>
      </c>
      <c r="G42" s="202">
        <f t="shared" si="9"/>
        <v>-4.979999999999997</v>
      </c>
      <c r="H42" s="204">
        <f t="shared" si="7"/>
        <v>91.7</v>
      </c>
      <c r="I42" s="205">
        <f t="shared" si="10"/>
        <v>-94.97999999999999</v>
      </c>
      <c r="J42" s="205">
        <f t="shared" si="12"/>
        <v>36.68</v>
      </c>
      <c r="K42" s="205">
        <f>F42-81.62</f>
        <v>-26.6</v>
      </c>
      <c r="L42" s="205">
        <f>F42/81.62*100</f>
        <v>67.40994854202401</v>
      </c>
      <c r="M42" s="204">
        <f>E42-травень!E42</f>
        <v>10</v>
      </c>
      <c r="N42" s="208">
        <f>F42-травень!F42</f>
        <v>4.6200000000000045</v>
      </c>
      <c r="O42" s="207">
        <f t="shared" si="11"/>
        <v>-5.3799999999999955</v>
      </c>
      <c r="P42" s="205">
        <f t="shared" si="8"/>
        <v>46.200000000000045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6.8</v>
      </c>
      <c r="G43" s="202">
        <f t="shared" si="9"/>
        <v>6.8</v>
      </c>
      <c r="H43" s="204"/>
      <c r="I43" s="205">
        <f t="shared" si="10"/>
        <v>6.8</v>
      </c>
      <c r="J43" s="205"/>
      <c r="K43" s="205">
        <f>F43-2.5</f>
        <v>4.3</v>
      </c>
      <c r="L43" s="205">
        <f>F43/2.5*100</f>
        <v>272</v>
      </c>
      <c r="M43" s="204">
        <f>E43-травень!E43</f>
        <v>0</v>
      </c>
      <c r="N43" s="208">
        <f>F43-травень!F43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40</v>
      </c>
      <c r="F44" s="196">
        <v>145.95</v>
      </c>
      <c r="G44" s="202">
        <f t="shared" si="9"/>
        <v>105.94999999999999</v>
      </c>
      <c r="H44" s="204">
        <f t="shared" si="7"/>
        <v>364.875</v>
      </c>
      <c r="I44" s="205">
        <f t="shared" si="10"/>
        <v>55.94999999999999</v>
      </c>
      <c r="J44" s="205">
        <f t="shared" si="12"/>
        <v>162.16666666666666</v>
      </c>
      <c r="K44" s="205">
        <f>F44-0</f>
        <v>145.95</v>
      </c>
      <c r="L44" s="205"/>
      <c r="M44" s="204">
        <f>E44-травень!E44</f>
        <v>8</v>
      </c>
      <c r="N44" s="208">
        <f>F44-травень!F44</f>
        <v>69.61999999999999</v>
      </c>
      <c r="O44" s="207">
        <f t="shared" si="11"/>
        <v>61.61999999999999</v>
      </c>
      <c r="P44" s="205">
        <f t="shared" si="8"/>
        <v>870.2499999999999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6">
        <v>4645.51</v>
      </c>
      <c r="G46" s="202">
        <f t="shared" si="9"/>
        <v>106.48999999999978</v>
      </c>
      <c r="H46" s="204">
        <f t="shared" si="7"/>
        <v>102.34610114077486</v>
      </c>
      <c r="I46" s="205">
        <f t="shared" si="10"/>
        <v>-5254.49</v>
      </c>
      <c r="J46" s="205">
        <f t="shared" si="12"/>
        <v>46.924343434343434</v>
      </c>
      <c r="K46" s="205">
        <f>F46-4927.6</f>
        <v>-282.09000000000015</v>
      </c>
      <c r="L46" s="205">
        <f>F46/4927.6*100</f>
        <v>94.27530643721082</v>
      </c>
      <c r="M46" s="204">
        <f>E46-травень!E46</f>
        <v>800.0000000000005</v>
      </c>
      <c r="N46" s="208">
        <f>F46-травень!F46</f>
        <v>588.1000000000004</v>
      </c>
      <c r="O46" s="207">
        <f t="shared" si="11"/>
        <v>-211.9000000000001</v>
      </c>
      <c r="P46" s="205">
        <f t="shared" si="8"/>
        <v>73.5125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650</v>
      </c>
      <c r="F47" s="196">
        <v>61.33</v>
      </c>
      <c r="G47" s="202">
        <f t="shared" si="9"/>
        <v>-588.67</v>
      </c>
      <c r="H47" s="204">
        <f t="shared" si="7"/>
        <v>9.435384615384615</v>
      </c>
      <c r="I47" s="205">
        <f t="shared" si="10"/>
        <v>-1438.67</v>
      </c>
      <c r="J47" s="205">
        <f t="shared" si="12"/>
        <v>4.088666666666667</v>
      </c>
      <c r="K47" s="205">
        <f>F47-0</f>
        <v>61.33</v>
      </c>
      <c r="L47" s="205"/>
      <c r="M47" s="204">
        <f>E47-травень!E47</f>
        <v>130</v>
      </c>
      <c r="N47" s="208">
        <f>F47-травень!F47</f>
        <v>27.4</v>
      </c>
      <c r="O47" s="207">
        <f t="shared" si="11"/>
        <v>-102.6</v>
      </c>
      <c r="P47" s="205">
        <f t="shared" si="8"/>
        <v>21.076923076923077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20</v>
      </c>
      <c r="F48" s="196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6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6">
        <v>2955.57</v>
      </c>
      <c r="G50" s="202">
        <f t="shared" si="9"/>
        <v>-263.6199999999999</v>
      </c>
      <c r="H50" s="204">
        <f t="shared" si="7"/>
        <v>91.81098350827382</v>
      </c>
      <c r="I50" s="205">
        <f t="shared" si="10"/>
        <v>-4344.43</v>
      </c>
      <c r="J50" s="205">
        <f t="shared" si="12"/>
        <v>40.4872602739726</v>
      </c>
      <c r="K50" s="205">
        <f>F50-4033.24</f>
        <v>-1077.6699999999996</v>
      </c>
      <c r="L50" s="205">
        <f>F50/4033.24*100</f>
        <v>73.28029078358838</v>
      </c>
      <c r="M50" s="204">
        <f>E50-травень!E50</f>
        <v>666</v>
      </c>
      <c r="N50" s="208">
        <f>F50-травень!F50</f>
        <v>382.1100000000001</v>
      </c>
      <c r="O50" s="207">
        <f t="shared" si="11"/>
        <v>-283.8899999999999</v>
      </c>
      <c r="P50" s="205">
        <f t="shared" si="8"/>
        <v>57.37387387387389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71">
        <v>407.4</v>
      </c>
      <c r="G51" s="36">
        <f t="shared" si="9"/>
        <v>-144.59000000000003</v>
      </c>
      <c r="H51" s="32">
        <f t="shared" si="7"/>
        <v>73.80568488559575</v>
      </c>
      <c r="I51" s="110">
        <f t="shared" si="10"/>
        <v>-692.6</v>
      </c>
      <c r="J51" s="110">
        <f t="shared" si="12"/>
        <v>37.03636363636363</v>
      </c>
      <c r="K51" s="110">
        <f>F51-582.74</f>
        <v>-175.34000000000003</v>
      </c>
      <c r="L51" s="110">
        <f>F51/582.74*100</f>
        <v>69.91110958575007</v>
      </c>
      <c r="M51" s="111">
        <f>E51-травень!E51</f>
        <v>185</v>
      </c>
      <c r="N51" s="179">
        <f>F51-травень!F51</f>
        <v>39.849999999999966</v>
      </c>
      <c r="O51" s="112">
        <f t="shared" si="11"/>
        <v>-145.15000000000003</v>
      </c>
      <c r="P51" s="132">
        <f t="shared" si="8"/>
        <v>21.540540540540523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71">
        <v>0.23</v>
      </c>
      <c r="G52" s="36">
        <f t="shared" si="9"/>
        <v>-4.81</v>
      </c>
      <c r="H52" s="32">
        <f t="shared" si="7"/>
        <v>4.563492063492064</v>
      </c>
      <c r="I52" s="110">
        <f t="shared" si="10"/>
        <v>-44.77</v>
      </c>
      <c r="J52" s="110">
        <f t="shared" si="12"/>
        <v>0.5111111111111112</v>
      </c>
      <c r="K52" s="110">
        <f>F52-45.15</f>
        <v>-44.92</v>
      </c>
      <c r="L52" s="110">
        <f>F52/45.15*100</f>
        <v>0.5094130675526024</v>
      </c>
      <c r="M52" s="111">
        <f>E52-травень!E52</f>
        <v>1</v>
      </c>
      <c r="N52" s="179">
        <f>F52-травень!F52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71">
        <v>2547.93</v>
      </c>
      <c r="G54" s="36">
        <f t="shared" si="9"/>
        <v>-114.24000000000024</v>
      </c>
      <c r="H54" s="32">
        <f t="shared" si="7"/>
        <v>95.70876390313164</v>
      </c>
      <c r="I54" s="110">
        <f t="shared" si="10"/>
        <v>-3606.07</v>
      </c>
      <c r="J54" s="110">
        <f t="shared" si="12"/>
        <v>41.402827429314264</v>
      </c>
      <c r="K54" s="110">
        <f>F54-3404.6</f>
        <v>-856.6700000000001</v>
      </c>
      <c r="L54" s="110">
        <f>F54/3404.6*100</f>
        <v>74.83786641602538</v>
      </c>
      <c r="M54" s="111">
        <f>E54-травень!E54</f>
        <v>480</v>
      </c>
      <c r="N54" s="179">
        <f>F54-травень!F54</f>
        <v>342.25999999999976</v>
      </c>
      <c r="O54" s="112">
        <f t="shared" si="11"/>
        <v>-137.74000000000024</v>
      </c>
      <c r="P54" s="132">
        <f t="shared" si="8"/>
        <v>71.30416666666662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6">
        <v>2613.78</v>
      </c>
      <c r="G56" s="202">
        <f t="shared" si="9"/>
        <v>345.8000000000002</v>
      </c>
      <c r="H56" s="204">
        <f t="shared" si="7"/>
        <v>115.24704803393328</v>
      </c>
      <c r="I56" s="205">
        <f t="shared" si="10"/>
        <v>-2186.22</v>
      </c>
      <c r="J56" s="205">
        <f t="shared" si="12"/>
        <v>54.45375</v>
      </c>
      <c r="K56" s="205">
        <f>F56-2236.15</f>
        <v>377.6300000000001</v>
      </c>
      <c r="L56" s="205">
        <f>F56/2236.15*100</f>
        <v>116.88750754645261</v>
      </c>
      <c r="M56" s="204">
        <f>E56-травень!E56</f>
        <v>400</v>
      </c>
      <c r="N56" s="208">
        <f>F56-травень!F56</f>
        <v>293.6700000000001</v>
      </c>
      <c r="O56" s="207">
        <f t="shared" si="11"/>
        <v>-106.32999999999993</v>
      </c>
      <c r="P56" s="205">
        <f t="shared" si="8"/>
        <v>73.41750000000002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579.7</v>
      </c>
      <c r="G58" s="202"/>
      <c r="H58" s="204"/>
      <c r="I58" s="205"/>
      <c r="J58" s="205"/>
      <c r="K58" s="206">
        <f>F58-577.4</f>
        <v>2.300000000000068</v>
      </c>
      <c r="L58" s="206">
        <f>F58/577.4*100</f>
        <v>100.39833737443715</v>
      </c>
      <c r="M58" s="236"/>
      <c r="N58" s="220">
        <f>F58-травень!F58</f>
        <v>101.33000000000004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6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191">
        <f>F8+F37+F61+F62</f>
        <v>442701.08999999997</v>
      </c>
      <c r="G63" s="191">
        <f>F63-E63</f>
        <v>955.0800000000163</v>
      </c>
      <c r="H63" s="192">
        <f>F63/E63*100</f>
        <v>100.21620568796989</v>
      </c>
      <c r="I63" s="193">
        <f>F63-D63</f>
        <v>-441199.51</v>
      </c>
      <c r="J63" s="193">
        <f>F63/D63*100</f>
        <v>50.08494054648226</v>
      </c>
      <c r="K63" s="193">
        <f>F63-320998.67</f>
        <v>121702.41999999998</v>
      </c>
      <c r="L63" s="193">
        <f>F63/320998.67*100</f>
        <v>137.91368356759858</v>
      </c>
      <c r="M63" s="191">
        <f>M8+M37+M61+M62</f>
        <v>71492.59999999999</v>
      </c>
      <c r="N63" s="191">
        <f>N8+N37+N61+N62</f>
        <v>44851.799999999996</v>
      </c>
      <c r="O63" s="195">
        <f>N63-M63</f>
        <v>-26640.799999999996</v>
      </c>
      <c r="P63" s="193">
        <f>N63/M63*100</f>
        <v>62.73628319574334</v>
      </c>
      <c r="Q63" s="28">
        <f>N63-34768</f>
        <v>10083.799999999996</v>
      </c>
      <c r="R63" s="128">
        <f>N63/34768</f>
        <v>1.2900310630464793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2">
        <v>1042</v>
      </c>
      <c r="G72" s="202">
        <f aca="true" t="shared" si="13" ref="G72:G82">F72-E72</f>
        <v>-371</v>
      </c>
      <c r="H72" s="204"/>
      <c r="I72" s="207">
        <f aca="true" t="shared" si="14" ref="I72:I82">F72-D72</f>
        <v>-3158</v>
      </c>
      <c r="J72" s="207">
        <f>F72/D72*100</f>
        <v>24.80952380952381</v>
      </c>
      <c r="K72" s="207">
        <f>F72-194</f>
        <v>848</v>
      </c>
      <c r="L72" s="207">
        <f>F72/194*100</f>
        <v>537.1134020618556</v>
      </c>
      <c r="M72" s="204">
        <f>E72-травень!E72</f>
        <v>500</v>
      </c>
      <c r="N72" s="208">
        <f>F72-травень!F72</f>
        <v>0.029999999999972715</v>
      </c>
      <c r="O72" s="207">
        <f aca="true" t="shared" si="15" ref="O72:O85">N72-M72</f>
        <v>-499.97</v>
      </c>
      <c r="P72" s="207">
        <f>N72/M72*100</f>
        <v>0.0059999999999945436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2">
        <v>884.66</v>
      </c>
      <c r="G73" s="202">
        <f t="shared" si="13"/>
        <v>-1349.0500000000002</v>
      </c>
      <c r="H73" s="204">
        <f>F73/E73*100</f>
        <v>39.604962148175005</v>
      </c>
      <c r="I73" s="207">
        <f t="shared" si="14"/>
        <v>-6574.34</v>
      </c>
      <c r="J73" s="207">
        <f>F73/D73*100</f>
        <v>11.860302989676901</v>
      </c>
      <c r="K73" s="207">
        <f>F73-3257.07</f>
        <v>-2372.4100000000003</v>
      </c>
      <c r="L73" s="207">
        <f>F73/3257.07*100</f>
        <v>27.16122158872852</v>
      </c>
      <c r="M73" s="204">
        <f>E73-травень!E73</f>
        <v>282.60000000000014</v>
      </c>
      <c r="N73" s="208">
        <f>F73-травень!F73</f>
        <v>15.42999999999995</v>
      </c>
      <c r="O73" s="207">
        <f t="shared" si="15"/>
        <v>-267.1700000000002</v>
      </c>
      <c r="P73" s="207">
        <f>N73/M73*100</f>
        <v>5.46001415428165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2">
        <v>9113.79</v>
      </c>
      <c r="G74" s="202">
        <f t="shared" si="13"/>
        <v>7320.9400000000005</v>
      </c>
      <c r="H74" s="204">
        <f>F74/E74*100</f>
        <v>508.34090972474</v>
      </c>
      <c r="I74" s="207">
        <f t="shared" si="14"/>
        <v>3113.790000000001</v>
      </c>
      <c r="J74" s="207">
        <f>F74/D74*100</f>
        <v>151.8965</v>
      </c>
      <c r="K74" s="207">
        <f>F74-1818.42</f>
        <v>7295.370000000001</v>
      </c>
      <c r="L74" s="207">
        <f>F74/1818.42*100</f>
        <v>501.1927937440196</v>
      </c>
      <c r="M74" s="204">
        <f>E74-травень!E74</f>
        <v>302</v>
      </c>
      <c r="N74" s="208">
        <f>F74-травень!F74</f>
        <v>0.4000000000014552</v>
      </c>
      <c r="O74" s="207">
        <f t="shared" si="15"/>
        <v>-301.59999999999854</v>
      </c>
      <c r="P74" s="207">
        <f>N74/M74*100</f>
        <v>0.13245033112630966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2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5">
        <f>F72+F73+F74+F75</f>
        <v>11046.45</v>
      </c>
      <c r="G76" s="226">
        <f t="shared" si="13"/>
        <v>5600.890000000001</v>
      </c>
      <c r="H76" s="227">
        <f>F76/E76*100</f>
        <v>202.8524155458759</v>
      </c>
      <c r="I76" s="228">
        <f t="shared" si="14"/>
        <v>-6624.549999999999</v>
      </c>
      <c r="J76" s="228">
        <f>F76/D76*100</f>
        <v>62.51174240280686</v>
      </c>
      <c r="K76" s="228">
        <f>F76-5269.49</f>
        <v>5776.960000000001</v>
      </c>
      <c r="L76" s="228">
        <f>F76/5269.49*100</f>
        <v>209.6303437334543</v>
      </c>
      <c r="M76" s="226">
        <f>M72+M73+M74+M75</f>
        <v>1085.6000000000001</v>
      </c>
      <c r="N76" s="230">
        <f>N72+N73+N74+N75</f>
        <v>16.860000000001378</v>
      </c>
      <c r="O76" s="228">
        <f t="shared" si="15"/>
        <v>-1068.7399999999989</v>
      </c>
      <c r="P76" s="228">
        <f>N76/M76*100</f>
        <v>1.5530582166545115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4.42</v>
      </c>
      <c r="G77" s="202">
        <f t="shared" si="13"/>
        <v>4.42</v>
      </c>
      <c r="H77" s="204"/>
      <c r="I77" s="207">
        <f t="shared" si="14"/>
        <v>3.42</v>
      </c>
      <c r="J77" s="207"/>
      <c r="K77" s="207">
        <f>F77-0</f>
        <v>4.42</v>
      </c>
      <c r="L77" s="207"/>
      <c r="M77" s="204">
        <f>E77-травень!E77</f>
        <v>0</v>
      </c>
      <c r="N77" s="208">
        <f>F77-травень!F77</f>
        <v>0.019999999999999574</v>
      </c>
      <c r="O77" s="207">
        <f t="shared" si="15"/>
        <v>0.019999999999999574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2">
        <v>4889.7</v>
      </c>
      <c r="G79" s="202">
        <f t="shared" si="13"/>
        <v>-227.60000000000036</v>
      </c>
      <c r="H79" s="204">
        <f>F79/E79*100</f>
        <v>95.55234205538076</v>
      </c>
      <c r="I79" s="207">
        <f t="shared" si="14"/>
        <v>-4610.3</v>
      </c>
      <c r="J79" s="207">
        <f>F79/D79*100</f>
        <v>51.47052631578946</v>
      </c>
      <c r="K79" s="207">
        <f>F79-0</f>
        <v>4889.7</v>
      </c>
      <c r="L79" s="207"/>
      <c r="M79" s="204">
        <f>E79-травень!E79</f>
        <v>0.3000000000001819</v>
      </c>
      <c r="N79" s="208">
        <f>F79-травень!F79</f>
        <v>1.9299999999993815</v>
      </c>
      <c r="O79" s="207">
        <f>N79-M79</f>
        <v>1.6299999999991996</v>
      </c>
      <c r="P79" s="231">
        <f>N79/M79*100</f>
        <v>643.3333333327371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3"/>
        <v>0.69</v>
      </c>
      <c r="H80" s="204"/>
      <c r="I80" s="207">
        <f t="shared" si="14"/>
        <v>0.69</v>
      </c>
      <c r="J80" s="207"/>
      <c r="K80" s="207">
        <f>F80-1.06</f>
        <v>-0.3700000000000001</v>
      </c>
      <c r="L80" s="207">
        <f>F80/1.06*100</f>
        <v>65.09433962264151</v>
      </c>
      <c r="M80" s="204">
        <f>E80-травень!E80</f>
        <v>0</v>
      </c>
      <c r="N80" s="208">
        <f>F80-травень!F80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5">
        <f>F77+F80+F78+F79</f>
        <v>4894.8099999999995</v>
      </c>
      <c r="G81" s="224">
        <f>G77+G80+G78+G79</f>
        <v>-222.49000000000035</v>
      </c>
      <c r="H81" s="227">
        <f>F81/E81*100</f>
        <v>95.6521994020284</v>
      </c>
      <c r="I81" s="228">
        <f t="shared" si="14"/>
        <v>-4606.1900000000005</v>
      </c>
      <c r="J81" s="228">
        <f>F81/D81*100</f>
        <v>51.518892748131776</v>
      </c>
      <c r="K81" s="228">
        <f>F81-1.06</f>
        <v>4893.749999999999</v>
      </c>
      <c r="L81" s="228">
        <f>F81/1.06*100</f>
        <v>461774.5283018867</v>
      </c>
      <c r="M81" s="226">
        <f>M77+M80+M78+M79</f>
        <v>0.3000000000001819</v>
      </c>
      <c r="N81" s="230">
        <f>N77+N80+N78+N79</f>
        <v>1.9499999999993811</v>
      </c>
      <c r="O81" s="226">
        <f>O77+O80+O78+O79</f>
        <v>1.6499999999991992</v>
      </c>
      <c r="P81" s="228">
        <f>N81/M81*100</f>
        <v>649.9999999993996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2">
        <v>10.3</v>
      </c>
      <c r="G82" s="202">
        <f t="shared" si="13"/>
        <v>-9.399999999999999</v>
      </c>
      <c r="H82" s="204">
        <f>F82/E82*100</f>
        <v>52.28426395939086</v>
      </c>
      <c r="I82" s="207">
        <f t="shared" si="14"/>
        <v>-32.7</v>
      </c>
      <c r="J82" s="207">
        <f>F82/D82*100</f>
        <v>23.953488372093023</v>
      </c>
      <c r="K82" s="207">
        <f>F82-19.94</f>
        <v>-9.64</v>
      </c>
      <c r="L82" s="207">
        <f>F82/19.94*100</f>
        <v>51.65496489468405</v>
      </c>
      <c r="M82" s="204">
        <f>E82-травень!E82</f>
        <v>5.899999999999999</v>
      </c>
      <c r="N82" s="208">
        <f>F82-травень!F82</f>
        <v>1.1100000000000012</v>
      </c>
      <c r="O82" s="207">
        <f t="shared" si="15"/>
        <v>-4.789999999999997</v>
      </c>
      <c r="P82" s="207">
        <f>N82/M82</f>
        <v>0.18813559322033924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32">
        <f>F70+F82+F76+F81+F83</f>
        <v>15949.27</v>
      </c>
      <c r="G84" s="233">
        <f>F84-E84</f>
        <v>5366.710000000001</v>
      </c>
      <c r="H84" s="234">
        <f>F84/E84*100</f>
        <v>150.7127764926445</v>
      </c>
      <c r="I84" s="235">
        <f>F84-D84</f>
        <v>-11265.73</v>
      </c>
      <c r="J84" s="235">
        <f>F84/D84*100</f>
        <v>58.604703288627604</v>
      </c>
      <c r="K84" s="235">
        <f>F84-5259.67</f>
        <v>10689.6</v>
      </c>
      <c r="L84" s="235">
        <f>F84/5259.67*100</f>
        <v>303.2370852163729</v>
      </c>
      <c r="M84" s="232">
        <f>M70+M82+M76+M81</f>
        <v>1091.8000000000004</v>
      </c>
      <c r="N84" s="232">
        <f>N70+N82+N76+N81+N83</f>
        <v>17.89000000000076</v>
      </c>
      <c r="O84" s="235">
        <f t="shared" si="15"/>
        <v>-1073.9099999999996</v>
      </c>
      <c r="P84" s="235">
        <f>N84/M84*100</f>
        <v>1.6385784942297814</v>
      </c>
      <c r="Q84" s="28">
        <f>N84-8104.96</f>
        <v>-8087.07</v>
      </c>
      <c r="R84" s="101">
        <f>N84/8104.96</f>
        <v>0.00220729035060022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32">
        <f>F63+F84</f>
        <v>458650.36</v>
      </c>
      <c r="G85" s="233">
        <f>F85-E85</f>
        <v>6321.790000000037</v>
      </c>
      <c r="H85" s="234">
        <f>F85/E85*100</f>
        <v>101.39761014874654</v>
      </c>
      <c r="I85" s="235">
        <f>F85-D85</f>
        <v>-452465.24</v>
      </c>
      <c r="J85" s="235">
        <f>F85/D85*100</f>
        <v>50.33942564478097</v>
      </c>
      <c r="K85" s="235">
        <f>F85-320998.67-5259.67</f>
        <v>132392.02</v>
      </c>
      <c r="L85" s="235">
        <f>F85/(265734.15+4325.48)*100</f>
        <v>169.8329957720819</v>
      </c>
      <c r="M85" s="233">
        <f>M63+M84</f>
        <v>72584.4</v>
      </c>
      <c r="N85" s="233">
        <f>N63+N84</f>
        <v>44869.689999999995</v>
      </c>
      <c r="O85" s="235">
        <f t="shared" si="15"/>
        <v>-27714.71</v>
      </c>
      <c r="P85" s="235">
        <f>N85/M85*100</f>
        <v>61.81726376466569</v>
      </c>
      <c r="Q85" s="28">
        <f>N85-42872.96</f>
        <v>1996.729999999996</v>
      </c>
      <c r="R85" s="101">
        <f>N85/42872.96</f>
        <v>1.0465731780590843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5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5328.159999999999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42542</v>
      </c>
      <c r="D89" s="31">
        <v>3344.6</v>
      </c>
      <c r="G89" s="4" t="s">
        <v>59</v>
      </c>
      <c r="N89" s="256"/>
      <c r="O89" s="256"/>
    </row>
    <row r="90" spans="3:15" ht="15">
      <c r="C90" s="87">
        <v>42538</v>
      </c>
      <c r="D90" s="31">
        <v>3966.5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42537</v>
      </c>
      <c r="D91" s="31">
        <v>4085.6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2230.53504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 hidden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710</v>
      </c>
      <c r="F96" s="247">
        <f>F44+F47+F48</f>
        <v>215.81999999999996</v>
      </c>
      <c r="G96" s="73">
        <f>G44+G47+G48</f>
        <v>-494.17999999999995</v>
      </c>
      <c r="H96" s="74"/>
      <c r="I96" s="74"/>
      <c r="M96" s="31">
        <f>M44+M47+M48</f>
        <v>142</v>
      </c>
      <c r="N96" s="246">
        <f>N44+N47+N48</f>
        <v>97.83999999999997</v>
      </c>
      <c r="O96" s="31">
        <f>O44+O47+O48</f>
        <v>-44.160000000000004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99" ht="15">
      <c r="N99" s="31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.11811023622047245" bottom="0.11811023622047245" header="0.1968503937007874" footer="0.11811023622047245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2" sqref="B1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168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162</v>
      </c>
      <c r="N3" s="281" t="s">
        <v>163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158</v>
      </c>
      <c r="F4" s="284" t="s">
        <v>34</v>
      </c>
      <c r="G4" s="258" t="s">
        <v>159</v>
      </c>
      <c r="H4" s="266" t="s">
        <v>160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169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161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v>478.37</v>
      </c>
      <c r="G58" s="202"/>
      <c r="H58" s="204"/>
      <c r="I58" s="205"/>
      <c r="J58" s="205"/>
      <c r="K58" s="206">
        <f>F58-430.9</f>
        <v>47.47000000000003</v>
      </c>
      <c r="L58" s="206">
        <f>F58/430.9*100</f>
        <v>111.01647714086795</v>
      </c>
      <c r="M58" s="236"/>
      <c r="N58" s="220">
        <f>F58-квітень!F54</f>
        <v>91.00999999999999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56"/>
      <c r="O89" s="256"/>
    </row>
    <row r="90" spans="3:15" ht="15">
      <c r="C90" s="87">
        <v>42520</v>
      </c>
      <c r="D90" s="31">
        <v>8891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42517</v>
      </c>
      <c r="D91" s="31">
        <v>7356.3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2811.04042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156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153</v>
      </c>
      <c r="N3" s="281" t="s">
        <v>154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150</v>
      </c>
      <c r="F4" s="284" t="s">
        <v>34</v>
      </c>
      <c r="G4" s="258" t="s">
        <v>151</v>
      </c>
      <c r="H4" s="266" t="s">
        <v>152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157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155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3"/>
      <c r="H84" s="263"/>
      <c r="I84" s="263"/>
      <c r="J84" s="263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56"/>
      <c r="O85" s="256"/>
    </row>
    <row r="86" spans="3:15" ht="15">
      <c r="C86" s="87">
        <v>42488</v>
      </c>
      <c r="D86" s="31">
        <v>11419.7</v>
      </c>
      <c r="F86" s="124" t="s">
        <v>59</v>
      </c>
      <c r="G86" s="250"/>
      <c r="H86" s="250"/>
      <c r="I86" s="131"/>
      <c r="J86" s="253"/>
      <c r="K86" s="253"/>
      <c r="L86" s="253"/>
      <c r="M86" s="253"/>
      <c r="N86" s="256"/>
      <c r="O86" s="256"/>
    </row>
    <row r="87" spans="3:15" ht="15.75" customHeight="1">
      <c r="C87" s="87">
        <v>42487</v>
      </c>
      <c r="D87" s="31">
        <v>7800.7</v>
      </c>
      <c r="F87" s="73"/>
      <c r="G87" s="250"/>
      <c r="H87" s="250"/>
      <c r="I87" s="131"/>
      <c r="J87" s="257"/>
      <c r="K87" s="257"/>
      <c r="L87" s="257"/>
      <c r="M87" s="257"/>
      <c r="N87" s="256"/>
      <c r="O87" s="256"/>
    </row>
    <row r="88" spans="3:13" ht="15.75" customHeight="1">
      <c r="C88" s="87"/>
      <c r="F88" s="73"/>
      <c r="G88" s="252"/>
      <c r="H88" s="252"/>
      <c r="I88" s="139"/>
      <c r="J88" s="253"/>
      <c r="K88" s="253"/>
      <c r="L88" s="253"/>
      <c r="M88" s="253"/>
    </row>
    <row r="89" spans="2:13" ht="18.75" customHeight="1">
      <c r="B89" s="254" t="s">
        <v>57</v>
      </c>
      <c r="C89" s="255"/>
      <c r="D89" s="148">
        <v>9087.9705</v>
      </c>
      <c r="E89" s="74"/>
      <c r="F89" s="140" t="s">
        <v>137</v>
      </c>
      <c r="G89" s="250"/>
      <c r="H89" s="250"/>
      <c r="I89" s="141"/>
      <c r="J89" s="253"/>
      <c r="K89" s="253"/>
      <c r="L89" s="253"/>
      <c r="M89" s="253"/>
    </row>
    <row r="90" spans="6:12" ht="9.75" customHeight="1">
      <c r="F90" s="73"/>
      <c r="G90" s="250"/>
      <c r="H90" s="250"/>
      <c r="I90" s="73"/>
      <c r="J90" s="74"/>
      <c r="K90" s="74"/>
      <c r="L90" s="74"/>
    </row>
    <row r="91" spans="2:12" ht="22.5" customHeight="1" hidden="1">
      <c r="B91" s="248" t="s">
        <v>60</v>
      </c>
      <c r="C91" s="249"/>
      <c r="D91" s="86">
        <v>0</v>
      </c>
      <c r="E91" s="56" t="s">
        <v>24</v>
      </c>
      <c r="F91" s="73"/>
      <c r="G91" s="250"/>
      <c r="H91" s="25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50"/>
      <c r="O92" s="250"/>
    </row>
    <row r="93" spans="4:15" ht="15">
      <c r="D93" s="83"/>
      <c r="I93" s="31"/>
      <c r="N93" s="251"/>
      <c r="O93" s="251"/>
    </row>
    <row r="94" spans="14:15" ht="15">
      <c r="N94" s="250"/>
      <c r="O94" s="250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148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147</v>
      </c>
      <c r="N3" s="281" t="s">
        <v>143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146</v>
      </c>
      <c r="F4" s="284" t="s">
        <v>34</v>
      </c>
      <c r="G4" s="258" t="s">
        <v>141</v>
      </c>
      <c r="H4" s="266" t="s">
        <v>142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144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56"/>
      <c r="O84" s="256"/>
    </row>
    <row r="85" spans="3:15" ht="15">
      <c r="C85" s="87">
        <v>42459</v>
      </c>
      <c r="D85" s="31">
        <v>7576.3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42458</v>
      </c>
      <c r="D86" s="31">
        <v>9190.1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f>4343.7</f>
        <v>4343.7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139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128</v>
      </c>
      <c r="N3" s="281" t="s">
        <v>119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127</v>
      </c>
      <c r="F4" s="284" t="s">
        <v>34</v>
      </c>
      <c r="G4" s="258" t="s">
        <v>116</v>
      </c>
      <c r="H4" s="266" t="s">
        <v>117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140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118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56"/>
      <c r="O84" s="256"/>
    </row>
    <row r="85" spans="3:15" ht="15">
      <c r="C85" s="87">
        <v>42426</v>
      </c>
      <c r="D85" s="31">
        <v>6256.2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42425</v>
      </c>
      <c r="D86" s="31">
        <v>3536.9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505.3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135</v>
      </c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132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129</v>
      </c>
      <c r="F4" s="284" t="s">
        <v>34</v>
      </c>
      <c r="G4" s="258" t="s">
        <v>130</v>
      </c>
      <c r="H4" s="266" t="s">
        <v>131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88" t="s">
        <v>133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134</v>
      </c>
      <c r="L5" s="262"/>
      <c r="M5" s="267"/>
      <c r="N5" s="28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56"/>
      <c r="O84" s="256"/>
    </row>
    <row r="85" spans="3:15" ht="15">
      <c r="C85" s="87">
        <v>42397</v>
      </c>
      <c r="D85" s="31">
        <v>8685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42396</v>
      </c>
      <c r="D86" s="31">
        <v>4820.3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300.92</v>
      </c>
      <c r="E88" s="74"/>
      <c r="F88" s="140"/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136</v>
      </c>
      <c r="C3" s="275" t="s">
        <v>0</v>
      </c>
      <c r="D3" s="276" t="s">
        <v>115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107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104</v>
      </c>
      <c r="F4" s="290" t="s">
        <v>34</v>
      </c>
      <c r="G4" s="258" t="s">
        <v>109</v>
      </c>
      <c r="H4" s="266" t="s">
        <v>110</v>
      </c>
      <c r="I4" s="258" t="s">
        <v>105</v>
      </c>
      <c r="J4" s="266" t="s">
        <v>106</v>
      </c>
      <c r="K4" s="91" t="s">
        <v>65</v>
      </c>
      <c r="L4" s="96" t="s">
        <v>64</v>
      </c>
      <c r="M4" s="266"/>
      <c r="N4" s="288" t="s">
        <v>103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6.5" customHeight="1">
      <c r="A5" s="273"/>
      <c r="B5" s="274"/>
      <c r="C5" s="275"/>
      <c r="D5" s="276"/>
      <c r="E5" s="283"/>
      <c r="F5" s="291"/>
      <c r="G5" s="259"/>
      <c r="H5" s="267"/>
      <c r="I5" s="259"/>
      <c r="J5" s="267"/>
      <c r="K5" s="261" t="s">
        <v>108</v>
      </c>
      <c r="L5" s="262"/>
      <c r="M5" s="267"/>
      <c r="N5" s="289"/>
      <c r="O5" s="259"/>
      <c r="P5" s="260"/>
      <c r="Q5" s="261" t="s">
        <v>126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3"/>
      <c r="H82" s="263"/>
      <c r="I82" s="263"/>
      <c r="J82" s="263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56"/>
      <c r="O83" s="256"/>
    </row>
    <row r="84" spans="3:15" ht="15">
      <c r="C84" s="87">
        <v>42397</v>
      </c>
      <c r="D84" s="31">
        <v>8685</v>
      </c>
      <c r="F84" s="166" t="s">
        <v>59</v>
      </c>
      <c r="G84" s="250"/>
      <c r="H84" s="250"/>
      <c r="I84" s="131"/>
      <c r="J84" s="253"/>
      <c r="K84" s="253"/>
      <c r="L84" s="253"/>
      <c r="M84" s="253"/>
      <c r="N84" s="256"/>
      <c r="O84" s="256"/>
    </row>
    <row r="85" spans="3:15" ht="15.75" customHeight="1">
      <c r="C85" s="87">
        <v>42396</v>
      </c>
      <c r="D85" s="31">
        <v>4820.3</v>
      </c>
      <c r="F85" s="167"/>
      <c r="G85" s="250"/>
      <c r="H85" s="250"/>
      <c r="I85" s="131"/>
      <c r="J85" s="257"/>
      <c r="K85" s="257"/>
      <c r="L85" s="257"/>
      <c r="M85" s="257"/>
      <c r="N85" s="256"/>
      <c r="O85" s="256"/>
    </row>
    <row r="86" spans="3:13" ht="15.75" customHeight="1">
      <c r="C86" s="87"/>
      <c r="F86" s="167"/>
      <c r="G86" s="252"/>
      <c r="H86" s="252"/>
      <c r="I86" s="139"/>
      <c r="J86" s="253"/>
      <c r="K86" s="253"/>
      <c r="L86" s="253"/>
      <c r="M86" s="253"/>
    </row>
    <row r="87" spans="2:13" ht="18.75" customHeight="1">
      <c r="B87" s="254" t="s">
        <v>57</v>
      </c>
      <c r="C87" s="255"/>
      <c r="D87" s="148">
        <v>300.92</v>
      </c>
      <c r="E87" s="74"/>
      <c r="F87" s="168"/>
      <c r="G87" s="250"/>
      <c r="H87" s="250"/>
      <c r="I87" s="141"/>
      <c r="J87" s="253"/>
      <c r="K87" s="253"/>
      <c r="L87" s="253"/>
      <c r="M87" s="253"/>
    </row>
    <row r="88" spans="6:12" ht="9.75" customHeight="1">
      <c r="F88" s="167"/>
      <c r="G88" s="250"/>
      <c r="H88" s="250"/>
      <c r="I88" s="73"/>
      <c r="J88" s="74"/>
      <c r="K88" s="74"/>
      <c r="L88" s="74"/>
    </row>
    <row r="89" spans="2:12" ht="22.5" customHeight="1" hidden="1">
      <c r="B89" s="248" t="s">
        <v>60</v>
      </c>
      <c r="C89" s="249"/>
      <c r="D89" s="86">
        <v>0</v>
      </c>
      <c r="E89" s="56" t="s">
        <v>24</v>
      </c>
      <c r="F89" s="167"/>
      <c r="G89" s="250"/>
      <c r="H89" s="25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50"/>
      <c r="O90" s="250"/>
    </row>
    <row r="91" spans="4:15" ht="15">
      <c r="D91" s="83"/>
      <c r="I91" s="31"/>
      <c r="N91" s="251"/>
      <c r="O91" s="251"/>
    </row>
    <row r="92" spans="14:15" ht="15">
      <c r="N92" s="250"/>
      <c r="O92" s="250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2016-06-22T07:17:03Z</cp:lastPrinted>
  <dcterms:created xsi:type="dcterms:W3CDTF">2003-07-28T11:27:56Z</dcterms:created>
  <dcterms:modified xsi:type="dcterms:W3CDTF">2016-06-22T07:43:35Z</dcterms:modified>
  <cp:category/>
  <cp:version/>
  <cp:contentType/>
  <cp:contentStatus/>
</cp:coreProperties>
</file>